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45" yWindow="525" windowWidth="22695" windowHeight="16440"/>
  </bookViews>
  <sheets>
    <sheet name="Profit and Loss by Month" sheetId="1" r:id="rId1"/>
  </sheets>
  <definedNames>
    <definedName name="_xlnm._FilterDatabase" localSheetId="0" hidden="1">'Profit and Loss by Month'!$A$6:$G$96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"/>
  <c r="F94" s="1"/>
  <c r="E93"/>
  <c r="E94" s="1"/>
  <c r="D93"/>
  <c r="D94" s="1"/>
  <c r="C93"/>
  <c r="G93" s="1"/>
  <c r="B93"/>
  <c r="B94" s="1"/>
  <c r="F90"/>
  <c r="F91" s="1"/>
  <c r="E90"/>
  <c r="E91" s="1"/>
  <c r="E95" s="1"/>
  <c r="D90"/>
  <c r="D91" s="1"/>
  <c r="D95" s="1"/>
  <c r="C90"/>
  <c r="C91" s="1"/>
  <c r="B90"/>
  <c r="B91" s="1"/>
  <c r="B95" s="1"/>
  <c r="F86"/>
  <c r="E86"/>
  <c r="D86"/>
  <c r="C86"/>
  <c r="B86"/>
  <c r="F84"/>
  <c r="E84"/>
  <c r="D84"/>
  <c r="C84"/>
  <c r="B84"/>
  <c r="G84" s="1"/>
  <c r="F83"/>
  <c r="E83"/>
  <c r="E85" s="1"/>
  <c r="D83"/>
  <c r="D85" s="1"/>
  <c r="C83"/>
  <c r="B83"/>
  <c r="F85"/>
  <c r="E82"/>
  <c r="D82"/>
  <c r="C82"/>
  <c r="B82"/>
  <c r="E81"/>
  <c r="D81"/>
  <c r="C81"/>
  <c r="B81"/>
  <c r="F79"/>
  <c r="E79"/>
  <c r="D79"/>
  <c r="C79"/>
  <c r="G79" s="1"/>
  <c r="B79"/>
  <c r="F80"/>
  <c r="E78"/>
  <c r="E80" s="1"/>
  <c r="D78"/>
  <c r="C78"/>
  <c r="B78"/>
  <c r="B80" s="1"/>
  <c r="E77"/>
  <c r="D77"/>
  <c r="C77"/>
  <c r="B77"/>
  <c r="E76"/>
  <c r="D76"/>
  <c r="C76"/>
  <c r="B76"/>
  <c r="F74"/>
  <c r="E74"/>
  <c r="D74"/>
  <c r="C74"/>
  <c r="B74"/>
  <c r="F73"/>
  <c r="F75" s="1"/>
  <c r="E73"/>
  <c r="D73"/>
  <c r="C73"/>
  <c r="B73"/>
  <c r="E72"/>
  <c r="D72"/>
  <c r="C72"/>
  <c r="B72"/>
  <c r="E71"/>
  <c r="D71"/>
  <c r="C71"/>
  <c r="B71"/>
  <c r="E70"/>
  <c r="D70"/>
  <c r="C70"/>
  <c r="B70"/>
  <c r="F68"/>
  <c r="E68"/>
  <c r="D68"/>
  <c r="C68"/>
  <c r="B68"/>
  <c r="F69"/>
  <c r="E67"/>
  <c r="D67"/>
  <c r="D69" s="1"/>
  <c r="C67"/>
  <c r="C69" s="1"/>
  <c r="B67"/>
  <c r="B69" s="1"/>
  <c r="F66"/>
  <c r="E66"/>
  <c r="D66"/>
  <c r="C66"/>
  <c r="B66"/>
  <c r="E65"/>
  <c r="D65"/>
  <c r="C65"/>
  <c r="B65"/>
  <c r="F60"/>
  <c r="E60"/>
  <c r="D60"/>
  <c r="C60"/>
  <c r="G60" s="1"/>
  <c r="B60"/>
  <c r="F59"/>
  <c r="E59"/>
  <c r="D59"/>
  <c r="C59"/>
  <c r="B59"/>
  <c r="F58"/>
  <c r="F61" s="1"/>
  <c r="E58"/>
  <c r="D58"/>
  <c r="C58"/>
  <c r="B58"/>
  <c r="E57"/>
  <c r="D57"/>
  <c r="C57"/>
  <c r="B57"/>
  <c r="F56"/>
  <c r="E56"/>
  <c r="D56"/>
  <c r="C56"/>
  <c r="G56" s="1"/>
  <c r="B56"/>
  <c r="E55"/>
  <c r="D55"/>
  <c r="D61" s="1"/>
  <c r="C55"/>
  <c r="C61" s="1"/>
  <c r="B55"/>
  <c r="E53"/>
  <c r="D53"/>
  <c r="C53"/>
  <c r="B53"/>
  <c r="E52"/>
  <c r="D52"/>
  <c r="C52"/>
  <c r="B52"/>
  <c r="E51"/>
  <c r="D51"/>
  <c r="C51"/>
  <c r="B51"/>
  <c r="F54"/>
  <c r="E50"/>
  <c r="E54" s="1"/>
  <c r="D50"/>
  <c r="C50"/>
  <c r="B50"/>
  <c r="B54" s="1"/>
  <c r="E48"/>
  <c r="D48"/>
  <c r="C48"/>
  <c r="B48"/>
  <c r="E47"/>
  <c r="D47"/>
  <c r="C47"/>
  <c r="B47"/>
  <c r="G47" s="1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G41" s="1"/>
  <c r="F40"/>
  <c r="E40"/>
  <c r="D40"/>
  <c r="C40"/>
  <c r="B40"/>
  <c r="E39"/>
  <c r="D39"/>
  <c r="C39"/>
  <c r="B39"/>
  <c r="G39" s="1"/>
  <c r="E38"/>
  <c r="D38"/>
  <c r="C38"/>
  <c r="B38"/>
  <c r="E37"/>
  <c r="D37"/>
  <c r="C37"/>
  <c r="B37"/>
  <c r="G37" s="1"/>
  <c r="E36"/>
  <c r="D36"/>
  <c r="C36"/>
  <c r="B36"/>
  <c r="E35"/>
  <c r="D35"/>
  <c r="C35"/>
  <c r="B35"/>
  <c r="F34"/>
  <c r="E34"/>
  <c r="D34"/>
  <c r="C34"/>
  <c r="B34"/>
  <c r="E33"/>
  <c r="D33"/>
  <c r="C33"/>
  <c r="B33"/>
  <c r="G33" s="1"/>
  <c r="E32"/>
  <c r="D32"/>
  <c r="C32"/>
  <c r="B32"/>
  <c r="F31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F25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G21" s="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G15" s="1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G9" s="1"/>
  <c r="E8"/>
  <c r="D8"/>
  <c r="C8"/>
  <c r="B8"/>
  <c r="E7"/>
  <c r="D7"/>
  <c r="C7"/>
  <c r="B7"/>
  <c r="F95" l="1"/>
  <c r="G17"/>
  <c r="G23"/>
  <c r="G43"/>
  <c r="G59"/>
  <c r="G8"/>
  <c r="G20"/>
  <c r="G29"/>
  <c r="C54"/>
  <c r="G54" s="1"/>
  <c r="D54"/>
  <c r="G66"/>
  <c r="C75"/>
  <c r="D80"/>
  <c r="B85"/>
  <c r="E49"/>
  <c r="E62" s="1"/>
  <c r="E63" s="1"/>
  <c r="G32"/>
  <c r="G35"/>
  <c r="G57"/>
  <c r="C85"/>
  <c r="G76"/>
  <c r="G12"/>
  <c r="G24"/>
  <c r="G27"/>
  <c r="G44"/>
  <c r="G51"/>
  <c r="B61"/>
  <c r="G70"/>
  <c r="G86"/>
  <c r="G73"/>
  <c r="G13"/>
  <c r="G25"/>
  <c r="G58"/>
  <c r="G83"/>
  <c r="C49"/>
  <c r="C62" s="1"/>
  <c r="C63" s="1"/>
  <c r="G31"/>
  <c r="G48"/>
  <c r="E75"/>
  <c r="G77"/>
  <c r="G19"/>
  <c r="G36"/>
  <c r="G45"/>
  <c r="E61"/>
  <c r="D75"/>
  <c r="G16"/>
  <c r="G28"/>
  <c r="G52"/>
  <c r="E69"/>
  <c r="G69" s="1"/>
  <c r="G71"/>
  <c r="G74"/>
  <c r="G81"/>
  <c r="G90"/>
  <c r="G40"/>
  <c r="C94"/>
  <c r="C95" s="1"/>
  <c r="G95" s="1"/>
  <c r="G11"/>
  <c r="G68"/>
  <c r="G53"/>
  <c r="B75"/>
  <c r="B87" s="1"/>
  <c r="C80"/>
  <c r="C87" s="1"/>
  <c r="F87"/>
  <c r="D49"/>
  <c r="G30"/>
  <c r="G61"/>
  <c r="D87"/>
  <c r="G85"/>
  <c r="F49"/>
  <c r="F62" s="1"/>
  <c r="F63" s="1"/>
  <c r="G10"/>
  <c r="G14"/>
  <c r="G18"/>
  <c r="G22"/>
  <c r="G26"/>
  <c r="G34"/>
  <c r="G38"/>
  <c r="G42"/>
  <c r="G46"/>
  <c r="B49"/>
  <c r="G55"/>
  <c r="G72"/>
  <c r="G78"/>
  <c r="G82"/>
  <c r="G91"/>
  <c r="G50"/>
  <c r="G65"/>
  <c r="G67"/>
  <c r="G80" l="1"/>
  <c r="G75"/>
  <c r="E87"/>
  <c r="D62"/>
  <c r="D63" s="1"/>
  <c r="D88" s="1"/>
  <c r="D96" s="1"/>
  <c r="C88"/>
  <c r="C96" s="1"/>
  <c r="G94"/>
  <c r="G87"/>
  <c r="F88"/>
  <c r="F96" s="1"/>
  <c r="B62"/>
  <c r="G49"/>
  <c r="E88"/>
  <c r="E96" s="1"/>
  <c r="B63" l="1"/>
  <c r="G62"/>
  <c r="B88" l="1"/>
  <c r="G63"/>
  <c r="B96" l="1"/>
  <c r="G96" s="1"/>
  <c r="G88"/>
</calcChain>
</file>

<file path=xl/sharedStrings.xml><?xml version="1.0" encoding="utf-8"?>
<sst xmlns="http://schemas.openxmlformats.org/spreadsheetml/2006/main" count="103" uniqueCount="103">
  <si>
    <t>Jan 2020</t>
  </si>
  <si>
    <t>Feb 2020</t>
  </si>
  <si>
    <t>Mar 2020</t>
  </si>
  <si>
    <t>Apr 2020</t>
  </si>
  <si>
    <t>May 2020</t>
  </si>
  <si>
    <t>Total</t>
  </si>
  <si>
    <t>Income</t>
  </si>
  <si>
    <t xml:space="preserve">   Contributions-Groups</t>
  </si>
  <si>
    <t xml:space="preserve">      12 Step Study</t>
  </si>
  <si>
    <t xml:space="preserve">      Aberdeen Monday</t>
  </si>
  <si>
    <t xml:space="preserve">      Any Lengths</t>
  </si>
  <si>
    <t xml:space="preserve">      As Bill Sees It</t>
  </si>
  <si>
    <t xml:space="preserve">      Attraction Rather Than Promotion</t>
  </si>
  <si>
    <t xml:space="preserve">      Bel Air Big Book</t>
  </si>
  <si>
    <t xml:space="preserve">      Bel Air Friday Night</t>
  </si>
  <si>
    <t xml:space="preserve">      Bel Air Wednesday Night</t>
  </si>
  <si>
    <t xml:space="preserve">      Bel Air Women's Big Book</t>
  </si>
  <si>
    <t xml:space="preserve">      Bel Air Women's Group</t>
  </si>
  <si>
    <t xml:space="preserve">      By the Book</t>
  </si>
  <si>
    <t xml:space="preserve">      Came to Believe</t>
  </si>
  <si>
    <t xml:space="preserve">      Chesapeake Thursday</t>
  </si>
  <si>
    <t xml:space="preserve">      Darlington 12 Step</t>
  </si>
  <si>
    <t xml:space="preserve">      Early Bird 12 In 12</t>
  </si>
  <si>
    <t xml:space="preserve">      Edgewood Noon Group</t>
  </si>
  <si>
    <t xml:space="preserve">      Emmorton Beginners</t>
  </si>
  <si>
    <t xml:space="preserve">      Fallston Early Saturday</t>
  </si>
  <si>
    <t xml:space="preserve">      Forest Hill Friday</t>
  </si>
  <si>
    <t xml:space="preserve">      Freedom Group</t>
  </si>
  <si>
    <t xml:space="preserve">      Good News</t>
  </si>
  <si>
    <t xml:space="preserve">      Gratitude</t>
  </si>
  <si>
    <t xml:space="preserve">      Happy Hour</t>
  </si>
  <si>
    <t xml:space="preserve">      Individual Contributions</t>
  </si>
  <si>
    <t xml:space="preserve">      Jarrettsville 12 Step</t>
  </si>
  <si>
    <t xml:space="preserve">      Joppa 12 Step</t>
  </si>
  <si>
    <t xml:space="preserve">      Just for Today</t>
  </si>
  <si>
    <t xml:space="preserve">      Living the Steps</t>
  </si>
  <si>
    <t xml:space="preserve">      Lunch Bunch</t>
  </si>
  <si>
    <t xml:space="preserve">      North East 12 &amp; 12</t>
  </si>
  <si>
    <t xml:space="preserve">      North East Big Book</t>
  </si>
  <si>
    <t xml:space="preserve">      North East Friday</t>
  </si>
  <si>
    <t xml:space="preserve">      North Street</t>
  </si>
  <si>
    <t xml:space="preserve">      Port In A Storm</t>
  </si>
  <si>
    <t xml:space="preserve">      Providence</t>
  </si>
  <si>
    <t xml:space="preserve">      Solution For Living</t>
  </si>
  <si>
    <t xml:space="preserve">      Sunday Morning Now</t>
  </si>
  <si>
    <t xml:space="preserve">      Sunlight of the Spirit Thursday</t>
  </si>
  <si>
    <t xml:space="preserve">      T.H.I.N.K.</t>
  </si>
  <si>
    <t xml:space="preserve">      There is a Solution</t>
  </si>
  <si>
    <t xml:space="preserve">      Third Tradition</t>
  </si>
  <si>
    <t xml:space="preserve">   Total Contributions-Groups</t>
  </si>
  <si>
    <t xml:space="preserve">   Intergroup Activities Income</t>
  </si>
  <si>
    <t xml:space="preserve">      NEMDAA Awareness Bingo Income</t>
  </si>
  <si>
    <t xml:space="preserve">      Spring Breakfast Income</t>
  </si>
  <si>
    <t xml:space="preserve">      Ways and Means</t>
  </si>
  <si>
    <t xml:space="preserve">   Total Intergroup Activities Income</t>
  </si>
  <si>
    <t xml:space="preserve">   Other Income</t>
  </si>
  <si>
    <t xml:space="preserve">      Birthday Plan</t>
  </si>
  <si>
    <t xml:space="preserve">      Bulletin Subscriptions</t>
  </si>
  <si>
    <t xml:space="preserve">      Institution Committee Contribution</t>
  </si>
  <si>
    <t xml:space="preserve">      Literature Sales</t>
  </si>
  <si>
    <t xml:space="preserve">      Medallion Sales</t>
  </si>
  <si>
    <t xml:space="preserve">   Total Other Income</t>
  </si>
  <si>
    <t>Total Income</t>
  </si>
  <si>
    <t>Gross Profit</t>
  </si>
  <si>
    <t>Expenses</t>
  </si>
  <si>
    <t xml:space="preserve">   Computer</t>
  </si>
  <si>
    <t xml:space="preserve">   Insurance</t>
  </si>
  <si>
    <t xml:space="preserve">   Intergroup Workshop</t>
  </si>
  <si>
    <t xml:space="preserve">      Bingo - Expenses</t>
  </si>
  <si>
    <t xml:space="preserve">   Total Intergroup Workshop</t>
  </si>
  <si>
    <t xml:space="preserve">   Literature Purchases</t>
  </si>
  <si>
    <t xml:space="preserve">   Medallion Purchases</t>
  </si>
  <si>
    <t xml:space="preserve">   Office Expenses</t>
  </si>
  <si>
    <t xml:space="preserve">      Office Supplies</t>
  </si>
  <si>
    <t xml:space="preserve">      Postage</t>
  </si>
  <si>
    <t xml:space="preserve">   Total Office Expenses</t>
  </si>
  <si>
    <t xml:space="preserve">   Payroll Services</t>
  </si>
  <si>
    <t xml:space="preserve">   Payroll Taxes</t>
  </si>
  <si>
    <t xml:space="preserve">   Rent or Lease</t>
  </si>
  <si>
    <t xml:space="preserve">      Office - Rent</t>
  </si>
  <si>
    <t xml:space="preserve">   Total Rent or Lease</t>
  </si>
  <si>
    <t xml:space="preserve">   Salaries</t>
  </si>
  <si>
    <t xml:space="preserve">   Utilities</t>
  </si>
  <si>
    <t xml:space="preserve">      Gas &amp; Electric</t>
  </si>
  <si>
    <t xml:space="preserve">      Telephone/Internet</t>
  </si>
  <si>
    <t xml:space="preserve">   Total Utilities</t>
  </si>
  <si>
    <t xml:space="preserve">   Website hosting fees</t>
  </si>
  <si>
    <t>Total Expenses</t>
  </si>
  <si>
    <t>Net Operating Income</t>
  </si>
  <si>
    <t>Other Income</t>
  </si>
  <si>
    <t xml:space="preserve">   Interest Earned</t>
  </si>
  <si>
    <t>Total Other Income</t>
  </si>
  <si>
    <t>Other Expenses</t>
  </si>
  <si>
    <t xml:space="preserve">   PayPal Discount Taken</t>
  </si>
  <si>
    <t>Total Other Expenses</t>
  </si>
  <si>
    <t>Net Other Income</t>
  </si>
  <si>
    <t>Net Income</t>
  </si>
  <si>
    <t>Wednesday, Jun 10, 2020 04:31:47 PM GMT-7 - Cash Basis</t>
  </si>
  <si>
    <t>NEMDAA</t>
  </si>
  <si>
    <t>Profit and Loss by Month</t>
  </si>
  <si>
    <t>January - May, 2020</t>
  </si>
  <si>
    <t>will reclass to contributions</t>
  </si>
  <si>
    <t>finally cashed from Feb.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</si>
</sst>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topLeftCell="A61" workbookViewId="0">
      <selection activeCell="H68" sqref="H68"/>
    </sheetView>
  </sheetViews>
  <sheetFormatPr defaultColWidth="8.85546875" defaultRowHeight="15"/>
  <cols>
    <col min="1" max="1" width="35.28515625" customWidth="1"/>
    <col min="2" max="5" width="8.42578125" hidden="1" customWidth="1"/>
    <col min="6" max="6" width="8.42578125" customWidth="1"/>
    <col min="7" max="7" width="9.42578125" customWidth="1"/>
  </cols>
  <sheetData>
    <row r="1" spans="1:7" ht="18">
      <c r="A1" s="10" t="s">
        <v>98</v>
      </c>
      <c r="B1" s="9"/>
      <c r="C1" s="9"/>
      <c r="D1" s="9"/>
      <c r="E1" s="9"/>
      <c r="F1" s="9"/>
      <c r="G1" s="9"/>
    </row>
    <row r="2" spans="1:7" ht="18">
      <c r="A2" s="10" t="s">
        <v>99</v>
      </c>
      <c r="B2" s="9"/>
      <c r="C2" s="9"/>
      <c r="D2" s="9"/>
      <c r="E2" s="9"/>
      <c r="F2" s="9"/>
      <c r="G2" s="9"/>
    </row>
    <row r="3" spans="1:7">
      <c r="A3" s="11" t="s">
        <v>100</v>
      </c>
      <c r="B3" s="9"/>
      <c r="C3" s="9"/>
      <c r="D3" s="9"/>
      <c r="E3" s="9"/>
      <c r="F3" s="9"/>
      <c r="G3" s="9"/>
    </row>
    <row r="5" spans="1:7" ht="24.7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>
      <c r="A6" s="3" t="s">
        <v>6</v>
      </c>
      <c r="B6" s="4"/>
      <c r="C6" s="4"/>
      <c r="D6" s="4"/>
      <c r="E6" s="4"/>
      <c r="F6" s="4"/>
      <c r="G6" s="4"/>
    </row>
    <row r="7" spans="1:7">
      <c r="A7" s="3" t="s">
        <v>7</v>
      </c>
      <c r="B7" s="5">
        <f>0</f>
        <v>0</v>
      </c>
      <c r="C7" s="5">
        <f>0</f>
        <v>0</v>
      </c>
      <c r="D7" s="5">
        <f>0</f>
        <v>0</v>
      </c>
      <c r="E7" s="5">
        <f>0</f>
        <v>0</v>
      </c>
      <c r="F7" s="5"/>
      <c r="G7" s="5"/>
    </row>
    <row r="8" spans="1:7">
      <c r="A8" s="3" t="s">
        <v>8</v>
      </c>
      <c r="B8" s="5">
        <f>0</f>
        <v>0</v>
      </c>
      <c r="C8" s="5">
        <f>0</f>
        <v>0</v>
      </c>
      <c r="D8" s="5">
        <f>0</f>
        <v>0</v>
      </c>
      <c r="E8" s="5">
        <f>50</f>
        <v>50</v>
      </c>
      <c r="F8" s="5"/>
      <c r="G8" s="5">
        <f t="shared" ref="G8:G38" si="0">((((B8)+(C8))+(D8))+(E8))+(F8)</f>
        <v>50</v>
      </c>
    </row>
    <row r="9" spans="1:7">
      <c r="A9" s="3" t="s">
        <v>9</v>
      </c>
      <c r="B9" s="5">
        <f>25</f>
        <v>25</v>
      </c>
      <c r="C9" s="5">
        <f>0</f>
        <v>0</v>
      </c>
      <c r="D9" s="5">
        <f>0</f>
        <v>0</v>
      </c>
      <c r="E9" s="5">
        <f>20</f>
        <v>20</v>
      </c>
      <c r="F9" s="5"/>
      <c r="G9" s="5">
        <f t="shared" si="0"/>
        <v>45</v>
      </c>
    </row>
    <row r="10" spans="1:7">
      <c r="A10" s="3" t="s">
        <v>10</v>
      </c>
      <c r="B10" s="5">
        <f>0</f>
        <v>0</v>
      </c>
      <c r="C10" s="5">
        <f>0</f>
        <v>0</v>
      </c>
      <c r="D10" s="5">
        <f>59.6</f>
        <v>59.6</v>
      </c>
      <c r="E10" s="5">
        <f>0</f>
        <v>0</v>
      </c>
      <c r="F10" s="5"/>
      <c r="G10" s="5">
        <f t="shared" si="0"/>
        <v>59.6</v>
      </c>
    </row>
    <row r="11" spans="1:7">
      <c r="A11" s="3" t="s">
        <v>11</v>
      </c>
      <c r="B11" s="5">
        <f>40</f>
        <v>40</v>
      </c>
      <c r="C11" s="5">
        <f>0</f>
        <v>0</v>
      </c>
      <c r="D11" s="5">
        <f>0</f>
        <v>0</v>
      </c>
      <c r="E11" s="5">
        <f>0</f>
        <v>0</v>
      </c>
      <c r="F11" s="5"/>
      <c r="G11" s="5">
        <f t="shared" si="0"/>
        <v>40</v>
      </c>
    </row>
    <row r="12" spans="1:7">
      <c r="A12" s="3" t="s">
        <v>12</v>
      </c>
      <c r="B12" s="5">
        <f>0</f>
        <v>0</v>
      </c>
      <c r="C12" s="5">
        <f>0</f>
        <v>0</v>
      </c>
      <c r="D12" s="5">
        <f>110</f>
        <v>110</v>
      </c>
      <c r="E12" s="5">
        <f>0</f>
        <v>0</v>
      </c>
      <c r="F12" s="5"/>
      <c r="G12" s="5">
        <f t="shared" si="0"/>
        <v>110</v>
      </c>
    </row>
    <row r="13" spans="1:7">
      <c r="A13" s="3" t="s">
        <v>13</v>
      </c>
      <c r="B13" s="5">
        <f>0</f>
        <v>0</v>
      </c>
      <c r="C13" s="5">
        <f>110</f>
        <v>110</v>
      </c>
      <c r="D13" s="5">
        <f>0</f>
        <v>0</v>
      </c>
      <c r="E13" s="5">
        <f>0</f>
        <v>0</v>
      </c>
      <c r="F13" s="5"/>
      <c r="G13" s="5">
        <f t="shared" si="0"/>
        <v>110</v>
      </c>
    </row>
    <row r="14" spans="1:7">
      <c r="A14" s="3" t="s">
        <v>14</v>
      </c>
      <c r="B14" s="5">
        <f>0</f>
        <v>0</v>
      </c>
      <c r="C14" s="5">
        <f>0</f>
        <v>0</v>
      </c>
      <c r="D14" s="5">
        <f>0</f>
        <v>0</v>
      </c>
      <c r="E14" s="5">
        <f>350</f>
        <v>350</v>
      </c>
      <c r="F14" s="5"/>
      <c r="G14" s="5">
        <f t="shared" si="0"/>
        <v>350</v>
      </c>
    </row>
    <row r="15" spans="1:7">
      <c r="A15" s="3" t="s">
        <v>15</v>
      </c>
      <c r="B15" s="5">
        <f>0</f>
        <v>0</v>
      </c>
      <c r="C15" s="5">
        <f>625</f>
        <v>625</v>
      </c>
      <c r="D15" s="5">
        <f>0</f>
        <v>0</v>
      </c>
      <c r="E15" s="5">
        <f>0</f>
        <v>0</v>
      </c>
      <c r="F15" s="5"/>
      <c r="G15" s="5">
        <f t="shared" si="0"/>
        <v>625</v>
      </c>
    </row>
    <row r="16" spans="1:7">
      <c r="A16" s="3" t="s">
        <v>16</v>
      </c>
      <c r="B16" s="5">
        <f>165</f>
        <v>165</v>
      </c>
      <c r="C16" s="5">
        <f>0</f>
        <v>0</v>
      </c>
      <c r="D16" s="5">
        <f>0</f>
        <v>0</v>
      </c>
      <c r="E16" s="5">
        <f>50</f>
        <v>50</v>
      </c>
      <c r="F16" s="5"/>
      <c r="G16" s="5">
        <f t="shared" si="0"/>
        <v>215</v>
      </c>
    </row>
    <row r="17" spans="1:7">
      <c r="A17" s="3" t="s">
        <v>17</v>
      </c>
      <c r="B17" s="5">
        <f>69.2</f>
        <v>69.2</v>
      </c>
      <c r="C17" s="5">
        <f>0</f>
        <v>0</v>
      </c>
      <c r="D17" s="5">
        <f>0</f>
        <v>0</v>
      </c>
      <c r="E17" s="5">
        <f>0</f>
        <v>0</v>
      </c>
      <c r="F17" s="5"/>
      <c r="G17" s="5">
        <f t="shared" si="0"/>
        <v>69.2</v>
      </c>
    </row>
    <row r="18" spans="1:7">
      <c r="A18" s="3" t="s">
        <v>18</v>
      </c>
      <c r="B18" s="5">
        <f>0</f>
        <v>0</v>
      </c>
      <c r="C18" s="5">
        <f>0</f>
        <v>0</v>
      </c>
      <c r="D18" s="5">
        <f>0</f>
        <v>0</v>
      </c>
      <c r="E18" s="5">
        <f>161</f>
        <v>161</v>
      </c>
      <c r="F18" s="5"/>
      <c r="G18" s="5">
        <f t="shared" si="0"/>
        <v>161</v>
      </c>
    </row>
    <row r="19" spans="1:7">
      <c r="A19" s="3" t="s">
        <v>19</v>
      </c>
      <c r="B19" s="5">
        <f>200</f>
        <v>200</v>
      </c>
      <c r="C19" s="5">
        <f>200</f>
        <v>200</v>
      </c>
      <c r="D19" s="5">
        <f>0</f>
        <v>0</v>
      </c>
      <c r="E19" s="5">
        <f>0</f>
        <v>0</v>
      </c>
      <c r="F19" s="5"/>
      <c r="G19" s="5">
        <f t="shared" si="0"/>
        <v>400</v>
      </c>
    </row>
    <row r="20" spans="1:7">
      <c r="A20" s="3" t="s">
        <v>20</v>
      </c>
      <c r="B20" s="5">
        <f>0</f>
        <v>0</v>
      </c>
      <c r="C20" s="5">
        <f>0</f>
        <v>0</v>
      </c>
      <c r="D20" s="5">
        <f>65</f>
        <v>65</v>
      </c>
      <c r="E20" s="5">
        <f>0</f>
        <v>0</v>
      </c>
      <c r="F20" s="5"/>
      <c r="G20" s="5">
        <f t="shared" si="0"/>
        <v>65</v>
      </c>
    </row>
    <row r="21" spans="1:7">
      <c r="A21" s="3" t="s">
        <v>21</v>
      </c>
      <c r="B21" s="5">
        <f>0</f>
        <v>0</v>
      </c>
      <c r="C21" s="5">
        <f>0</f>
        <v>0</v>
      </c>
      <c r="D21" s="5">
        <f>75</f>
        <v>75</v>
      </c>
      <c r="E21" s="5">
        <f>0</f>
        <v>0</v>
      </c>
      <c r="F21" s="5"/>
      <c r="G21" s="5">
        <f t="shared" si="0"/>
        <v>75</v>
      </c>
    </row>
    <row r="22" spans="1:7">
      <c r="A22" s="3" t="s">
        <v>22</v>
      </c>
      <c r="B22" s="5">
        <f>83.35</f>
        <v>83.35</v>
      </c>
      <c r="C22" s="5">
        <f>0</f>
        <v>0</v>
      </c>
      <c r="D22" s="5">
        <f>0</f>
        <v>0</v>
      </c>
      <c r="E22" s="5">
        <f>0</f>
        <v>0</v>
      </c>
      <c r="F22" s="5"/>
      <c r="G22" s="5">
        <f t="shared" si="0"/>
        <v>83.35</v>
      </c>
    </row>
    <row r="23" spans="1:7">
      <c r="A23" s="3" t="s">
        <v>23</v>
      </c>
      <c r="B23" s="5">
        <f>0</f>
        <v>0</v>
      </c>
      <c r="C23" s="5">
        <f>59.6</f>
        <v>59.6</v>
      </c>
      <c r="D23" s="5">
        <f>0</f>
        <v>0</v>
      </c>
      <c r="E23" s="5">
        <f>0</f>
        <v>0</v>
      </c>
      <c r="F23" s="5"/>
      <c r="G23" s="5">
        <f t="shared" si="0"/>
        <v>59.6</v>
      </c>
    </row>
    <row r="24" spans="1:7">
      <c r="A24" s="3" t="s">
        <v>24</v>
      </c>
      <c r="B24" s="5">
        <f>0</f>
        <v>0</v>
      </c>
      <c r="C24" s="5">
        <f>150</f>
        <v>150</v>
      </c>
      <c r="D24" s="5">
        <f>0</f>
        <v>0</v>
      </c>
      <c r="E24" s="5">
        <f>0</f>
        <v>0</v>
      </c>
      <c r="F24" s="5"/>
      <c r="G24" s="5">
        <f t="shared" si="0"/>
        <v>150</v>
      </c>
    </row>
    <row r="25" spans="1:7">
      <c r="A25" s="3" t="s">
        <v>25</v>
      </c>
      <c r="B25" s="5">
        <f>120</f>
        <v>120</v>
      </c>
      <c r="C25" s="5">
        <f>40</f>
        <v>40</v>
      </c>
      <c r="D25" s="5">
        <f>0</f>
        <v>0</v>
      </c>
      <c r="E25" s="5">
        <f>40</f>
        <v>40</v>
      </c>
      <c r="F25" s="5">
        <f>40</f>
        <v>40</v>
      </c>
      <c r="G25" s="5">
        <f t="shared" si="0"/>
        <v>240</v>
      </c>
    </row>
    <row r="26" spans="1:7">
      <c r="A26" s="3" t="s">
        <v>26</v>
      </c>
      <c r="B26" s="5">
        <f>0</f>
        <v>0</v>
      </c>
      <c r="C26" s="5">
        <f>100</f>
        <v>100</v>
      </c>
      <c r="D26" s="5">
        <f>0</f>
        <v>0</v>
      </c>
      <c r="E26" s="5">
        <f>55</f>
        <v>55</v>
      </c>
      <c r="F26" s="5"/>
      <c r="G26" s="5">
        <f t="shared" si="0"/>
        <v>155</v>
      </c>
    </row>
    <row r="27" spans="1:7">
      <c r="A27" s="3" t="s">
        <v>27</v>
      </c>
      <c r="B27" s="5">
        <f>10</f>
        <v>10</v>
      </c>
      <c r="C27" s="5">
        <f>0</f>
        <v>0</v>
      </c>
      <c r="D27" s="5">
        <f>50</f>
        <v>50</v>
      </c>
      <c r="E27" s="5">
        <f>0</f>
        <v>0</v>
      </c>
      <c r="F27" s="5"/>
      <c r="G27" s="5">
        <f t="shared" si="0"/>
        <v>60</v>
      </c>
    </row>
    <row r="28" spans="1:7">
      <c r="A28" s="3" t="s">
        <v>28</v>
      </c>
      <c r="B28" s="5">
        <f>0</f>
        <v>0</v>
      </c>
      <c r="C28" s="5">
        <f>0</f>
        <v>0</v>
      </c>
      <c r="D28" s="5">
        <f>0</f>
        <v>0</v>
      </c>
      <c r="E28" s="5">
        <f>139.91</f>
        <v>139.91</v>
      </c>
      <c r="F28" s="5"/>
      <c r="G28" s="5">
        <f t="shared" si="0"/>
        <v>139.91</v>
      </c>
    </row>
    <row r="29" spans="1:7">
      <c r="A29" s="3" t="s">
        <v>29</v>
      </c>
      <c r="B29" s="5">
        <f>70</f>
        <v>70</v>
      </c>
      <c r="C29" s="5">
        <f>0</f>
        <v>0</v>
      </c>
      <c r="D29" s="5">
        <f>0</f>
        <v>0</v>
      </c>
      <c r="E29" s="5">
        <f>0</f>
        <v>0</v>
      </c>
      <c r="F29" s="5"/>
      <c r="G29" s="5">
        <f t="shared" si="0"/>
        <v>70</v>
      </c>
    </row>
    <row r="30" spans="1:7">
      <c r="A30" s="3" t="s">
        <v>30</v>
      </c>
      <c r="B30" s="5">
        <f>0</f>
        <v>0</v>
      </c>
      <c r="C30" s="5">
        <f>0</f>
        <v>0</v>
      </c>
      <c r="D30" s="5">
        <f>800</f>
        <v>800</v>
      </c>
      <c r="E30" s="5">
        <f>385</f>
        <v>385</v>
      </c>
      <c r="F30" s="5"/>
      <c r="G30" s="5">
        <f t="shared" si="0"/>
        <v>1185</v>
      </c>
    </row>
    <row r="31" spans="1:7">
      <c r="A31" s="3" t="s">
        <v>31</v>
      </c>
      <c r="B31" s="5">
        <f>0</f>
        <v>0</v>
      </c>
      <c r="C31" s="5">
        <f>0</f>
        <v>0</v>
      </c>
      <c r="D31" s="5">
        <f>0</f>
        <v>0</v>
      </c>
      <c r="E31" s="5">
        <f>1335</f>
        <v>1335</v>
      </c>
      <c r="F31" s="5">
        <f>1121.4</f>
        <v>1121.4000000000001</v>
      </c>
      <c r="G31" s="5">
        <f t="shared" si="0"/>
        <v>2456.4</v>
      </c>
    </row>
    <row r="32" spans="1:7">
      <c r="A32" s="3" t="s">
        <v>32</v>
      </c>
      <c r="B32" s="5">
        <f>0</f>
        <v>0</v>
      </c>
      <c r="C32" s="5">
        <f>0</f>
        <v>0</v>
      </c>
      <c r="D32" s="5">
        <f>300</f>
        <v>300</v>
      </c>
      <c r="E32" s="5">
        <f>0</f>
        <v>0</v>
      </c>
      <c r="F32" s="5"/>
      <c r="G32" s="5">
        <f t="shared" si="0"/>
        <v>300</v>
      </c>
    </row>
    <row r="33" spans="1:7">
      <c r="A33" s="3" t="s">
        <v>33</v>
      </c>
      <c r="B33" s="5">
        <f>0</f>
        <v>0</v>
      </c>
      <c r="C33" s="5">
        <f>0</f>
        <v>0</v>
      </c>
      <c r="D33" s="5">
        <f>0</f>
        <v>0</v>
      </c>
      <c r="E33" s="5">
        <f>150</f>
        <v>150</v>
      </c>
      <c r="F33" s="5"/>
      <c r="G33" s="5">
        <f t="shared" si="0"/>
        <v>150</v>
      </c>
    </row>
    <row r="34" spans="1:7">
      <c r="A34" s="3" t="s">
        <v>34</v>
      </c>
      <c r="B34" s="5">
        <f>0</f>
        <v>0</v>
      </c>
      <c r="C34" s="5">
        <f>60.61</f>
        <v>60.61</v>
      </c>
      <c r="D34" s="5">
        <f>0</f>
        <v>0</v>
      </c>
      <c r="E34" s="5">
        <f>0</f>
        <v>0</v>
      </c>
      <c r="F34" s="5">
        <f>58.14</f>
        <v>58.14</v>
      </c>
      <c r="G34" s="5">
        <f t="shared" si="0"/>
        <v>118.75</v>
      </c>
    </row>
    <row r="35" spans="1:7">
      <c r="A35" s="3" t="s">
        <v>35</v>
      </c>
      <c r="B35" s="5">
        <f>40</f>
        <v>40</v>
      </c>
      <c r="C35" s="5">
        <f>0</f>
        <v>0</v>
      </c>
      <c r="D35" s="5">
        <f>40</f>
        <v>40</v>
      </c>
      <c r="E35" s="5">
        <f>0</f>
        <v>0</v>
      </c>
      <c r="F35" s="5"/>
      <c r="G35" s="5">
        <f t="shared" si="0"/>
        <v>80</v>
      </c>
    </row>
    <row r="36" spans="1:7">
      <c r="A36" s="3" t="s">
        <v>36</v>
      </c>
      <c r="B36" s="5">
        <f>0</f>
        <v>0</v>
      </c>
      <c r="C36" s="5">
        <f>0</f>
        <v>0</v>
      </c>
      <c r="D36" s="5">
        <f>0</f>
        <v>0</v>
      </c>
      <c r="E36" s="5">
        <f>100</f>
        <v>100</v>
      </c>
      <c r="F36" s="5"/>
      <c r="G36" s="5">
        <f t="shared" si="0"/>
        <v>100</v>
      </c>
    </row>
    <row r="37" spans="1:7">
      <c r="A37" s="3" t="s">
        <v>37</v>
      </c>
      <c r="B37" s="5">
        <f>0</f>
        <v>0</v>
      </c>
      <c r="C37" s="5">
        <f>75</f>
        <v>75</v>
      </c>
      <c r="D37" s="5">
        <f>0</f>
        <v>0</v>
      </c>
      <c r="E37" s="5">
        <f>0</f>
        <v>0</v>
      </c>
      <c r="F37" s="5"/>
      <c r="G37" s="5">
        <f t="shared" si="0"/>
        <v>75</v>
      </c>
    </row>
    <row r="38" spans="1:7">
      <c r="A38" s="3" t="s">
        <v>38</v>
      </c>
      <c r="B38" s="5">
        <f>288</f>
        <v>288</v>
      </c>
      <c r="C38" s="5">
        <f>0</f>
        <v>0</v>
      </c>
      <c r="D38" s="5">
        <f>0</f>
        <v>0</v>
      </c>
      <c r="E38" s="5">
        <f>174</f>
        <v>174</v>
      </c>
      <c r="F38" s="5"/>
      <c r="G38" s="5">
        <f t="shared" si="0"/>
        <v>462</v>
      </c>
    </row>
    <row r="39" spans="1:7">
      <c r="A39" s="3" t="s">
        <v>39</v>
      </c>
      <c r="B39" s="5">
        <f>0</f>
        <v>0</v>
      </c>
      <c r="C39" s="5">
        <f>0</f>
        <v>0</v>
      </c>
      <c r="D39" s="5">
        <f>0</f>
        <v>0</v>
      </c>
      <c r="E39" s="5">
        <f>117</f>
        <v>117</v>
      </c>
      <c r="F39" s="5"/>
      <c r="G39" s="5">
        <f t="shared" ref="G39:G63" si="1">((((B39)+(C39))+(D39))+(E39))+(F39)</f>
        <v>117</v>
      </c>
    </row>
    <row r="40" spans="1:7">
      <c r="A40" s="3" t="s">
        <v>40</v>
      </c>
      <c r="B40" s="5">
        <f>0</f>
        <v>0</v>
      </c>
      <c r="C40" s="5">
        <f>0</f>
        <v>0</v>
      </c>
      <c r="D40" s="5">
        <f>0</f>
        <v>0</v>
      </c>
      <c r="E40" s="5">
        <f>0</f>
        <v>0</v>
      </c>
      <c r="F40" s="5">
        <f>324</f>
        <v>324</v>
      </c>
      <c r="G40" s="5">
        <f t="shared" si="1"/>
        <v>324</v>
      </c>
    </row>
    <row r="41" spans="1:7">
      <c r="A41" s="3" t="s">
        <v>41</v>
      </c>
      <c r="B41" s="5">
        <f>50</f>
        <v>50</v>
      </c>
      <c r="C41" s="5">
        <f>0</f>
        <v>0</v>
      </c>
      <c r="D41" s="5">
        <f>0</f>
        <v>0</v>
      </c>
      <c r="E41" s="5">
        <f>0</f>
        <v>0</v>
      </c>
      <c r="F41" s="5"/>
      <c r="G41" s="5">
        <f t="shared" si="1"/>
        <v>50</v>
      </c>
    </row>
    <row r="42" spans="1:7">
      <c r="A42" s="3" t="s">
        <v>42</v>
      </c>
      <c r="B42" s="5">
        <f>300</f>
        <v>300</v>
      </c>
      <c r="C42" s="5">
        <f>0</f>
        <v>0</v>
      </c>
      <c r="D42" s="5">
        <f>0</f>
        <v>0</v>
      </c>
      <c r="E42" s="5">
        <f>0</f>
        <v>0</v>
      </c>
      <c r="F42" s="5"/>
      <c r="G42" s="5">
        <f t="shared" si="1"/>
        <v>300</v>
      </c>
    </row>
    <row r="43" spans="1:7">
      <c r="A43" s="3" t="s">
        <v>43</v>
      </c>
      <c r="B43" s="5">
        <f>67</f>
        <v>67</v>
      </c>
      <c r="C43" s="5">
        <f>0</f>
        <v>0</v>
      </c>
      <c r="D43" s="5">
        <f>0</f>
        <v>0</v>
      </c>
      <c r="E43" s="5">
        <f>0</f>
        <v>0</v>
      </c>
      <c r="F43" s="5"/>
      <c r="G43" s="5">
        <f t="shared" si="1"/>
        <v>67</v>
      </c>
    </row>
    <row r="44" spans="1:7">
      <c r="A44" s="3" t="s">
        <v>44</v>
      </c>
      <c r="B44" s="5">
        <f>0</f>
        <v>0</v>
      </c>
      <c r="C44" s="5">
        <f>305</f>
        <v>305</v>
      </c>
      <c r="D44" s="5">
        <f>0</f>
        <v>0</v>
      </c>
      <c r="E44" s="5">
        <f>354</f>
        <v>354</v>
      </c>
      <c r="F44" s="5"/>
      <c r="G44" s="5">
        <f t="shared" si="1"/>
        <v>659</v>
      </c>
    </row>
    <row r="45" spans="1:7">
      <c r="A45" s="3" t="s">
        <v>45</v>
      </c>
      <c r="B45" s="5">
        <f>0</f>
        <v>0</v>
      </c>
      <c r="C45" s="5">
        <f>0</f>
        <v>0</v>
      </c>
      <c r="D45" s="5">
        <f>0</f>
        <v>0</v>
      </c>
      <c r="E45" s="5">
        <f>100</f>
        <v>100</v>
      </c>
      <c r="F45" s="5"/>
      <c r="G45" s="5">
        <f t="shared" si="1"/>
        <v>100</v>
      </c>
    </row>
    <row r="46" spans="1:7">
      <c r="A46" s="3" t="s">
        <v>46</v>
      </c>
      <c r="B46" s="5">
        <f>62</f>
        <v>62</v>
      </c>
      <c r="C46" s="5">
        <f>0</f>
        <v>0</v>
      </c>
      <c r="D46" s="5">
        <f>98</f>
        <v>98</v>
      </c>
      <c r="E46" s="5">
        <f>0</f>
        <v>0</v>
      </c>
      <c r="F46" s="5"/>
      <c r="G46" s="5">
        <f t="shared" si="1"/>
        <v>160</v>
      </c>
    </row>
    <row r="47" spans="1:7">
      <c r="A47" s="3" t="s">
        <v>47</v>
      </c>
      <c r="B47" s="5">
        <f>100</f>
        <v>100</v>
      </c>
      <c r="C47" s="5">
        <f>0</f>
        <v>0</v>
      </c>
      <c r="D47" s="5">
        <f>0</f>
        <v>0</v>
      </c>
      <c r="E47" s="5">
        <f>0</f>
        <v>0</v>
      </c>
      <c r="F47" s="5"/>
      <c r="G47" s="5">
        <f t="shared" si="1"/>
        <v>100</v>
      </c>
    </row>
    <row r="48" spans="1:7">
      <c r="A48" s="3" t="s">
        <v>48</v>
      </c>
      <c r="B48" s="5">
        <f>100</f>
        <v>100</v>
      </c>
      <c r="C48" s="5">
        <f>0</f>
        <v>0</v>
      </c>
      <c r="D48" s="5">
        <f>100</f>
        <v>100</v>
      </c>
      <c r="E48" s="5">
        <f>0</f>
        <v>0</v>
      </c>
      <c r="F48" s="5"/>
      <c r="G48" s="5">
        <f t="shared" si="1"/>
        <v>200</v>
      </c>
    </row>
    <row r="49" spans="1:8">
      <c r="A49" s="3" t="s">
        <v>49</v>
      </c>
      <c r="B49" s="6">
        <f>(((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</f>
        <v>1789.55</v>
      </c>
      <c r="C49" s="6">
        <f>(((((((((((((((((((((((((((((((((((((((((C7)+(C8))+(C9))+(C10))+(C11))+(C12))+(C13))+(C14))+(C15))+(C16))+(C17))+(C18))+(C19))+(C20))+(C21))+(C22))+(C23))+(C24))+(C25))+(C26))+(C27))+(C28))+(C29))+(C30))+(C31))+(C32))+(C33))+(C34))+(C35))+(C36))+(C37))+(C38))+(C39))+(C40))+(C41))+(C42))+(C43))+(C44))+(C45))+(C46))+(C47))+(C48)</f>
        <v>1725.2099999999998</v>
      </c>
      <c r="D49" s="6">
        <f>(((((((((((((((((((((((((((((((((((((((((D7)+(D8))+(D9))+(D10))+(D11))+(D12))+(D13))+(D14))+(D15))+(D16))+(D17))+(D18))+(D19))+(D20))+(D21))+(D22))+(D23))+(D24))+(D25))+(D26))+(D27))+(D28))+(D29))+(D30))+(D31))+(D32))+(D33))+(D34))+(D35))+(D36))+(D37))+(D38))+(D39))+(D40))+(D41))+(D42))+(D43))+(D44))+(D45))+(D46))+(D47))+(D48)</f>
        <v>1697.6</v>
      </c>
      <c r="E49" s="6">
        <f>(((((((((((((((((((((((((((((((((((((((((E7)+(E8))+(E9))+(E10))+(E11))+(E12))+(E13))+(E14))+(E15))+(E16))+(E17))+(E18))+(E19))+(E20))+(E21))+(E22))+(E23))+(E24))+(E25))+(E26))+(E27))+(E28))+(E29))+(E30))+(E31))+(E32))+(E33))+(E34))+(E35))+(E36))+(E37))+(E38))+(E39))+(E40))+(E41))+(E42))+(E43))+(E44))+(E45))+(E46))+(E47))+(E48)</f>
        <v>3580.91</v>
      </c>
      <c r="F49" s="6">
        <f>(((((((((((((((((((((((((((((((((((((((((F7)+(F8))+(F9))+(F10))+(F11))+(F12))+(F13))+(F14))+(F15))+(F16))+(F17))+(F18))+(F19))+(F20))+(F21))+(F22))+(F23))+(F24))+(F25))+(F26))+(F27))+(F28))+(F29))+(F30))+(F31))+(F32))+(F33))+(F34))+(F35))+(F36))+(F37))+(F38))+(F39))+(F40))+(F41))+(F42))+(F43))+(F44))+(F45))+(F46))+(F47))+(F48)</f>
        <v>1543.5400000000002</v>
      </c>
      <c r="G49" s="6">
        <f t="shared" si="1"/>
        <v>10336.810000000001</v>
      </c>
    </row>
    <row r="50" spans="1:8">
      <c r="A50" s="3" t="s">
        <v>50</v>
      </c>
      <c r="B50" s="5">
        <f>0</f>
        <v>0</v>
      </c>
      <c r="C50" s="5">
        <f>0</f>
        <v>0</v>
      </c>
      <c r="D50" s="5">
        <f>0</f>
        <v>0</v>
      </c>
      <c r="E50" s="5">
        <f>0</f>
        <v>0</v>
      </c>
      <c r="F50" s="5"/>
      <c r="G50" s="5">
        <f t="shared" si="1"/>
        <v>0</v>
      </c>
    </row>
    <row r="51" spans="1:8">
      <c r="A51" s="3" t="s">
        <v>51</v>
      </c>
      <c r="B51" s="5">
        <f>300</f>
        <v>300</v>
      </c>
      <c r="C51" s="5">
        <f>5686.6</f>
        <v>5686.6</v>
      </c>
      <c r="D51" s="5">
        <f>2</f>
        <v>2</v>
      </c>
      <c r="E51" s="5">
        <f>0</f>
        <v>0</v>
      </c>
      <c r="F51" s="5"/>
      <c r="G51" s="5">
        <f t="shared" si="1"/>
        <v>5988.6</v>
      </c>
    </row>
    <row r="52" spans="1:8">
      <c r="A52" s="3" t="s">
        <v>52</v>
      </c>
      <c r="B52" s="5">
        <f>0</f>
        <v>0</v>
      </c>
      <c r="C52" s="5">
        <f>150</f>
        <v>150</v>
      </c>
      <c r="D52" s="5">
        <f>-45</f>
        <v>-45</v>
      </c>
      <c r="E52" s="5">
        <f>0</f>
        <v>0</v>
      </c>
      <c r="F52" s="5"/>
      <c r="G52" s="5">
        <f t="shared" si="1"/>
        <v>105</v>
      </c>
      <c r="H52" t="s">
        <v>101</v>
      </c>
    </row>
    <row r="53" spans="1:8">
      <c r="A53" s="3" t="s">
        <v>53</v>
      </c>
      <c r="B53" s="5">
        <f>0</f>
        <v>0</v>
      </c>
      <c r="C53" s="5">
        <f>100</f>
        <v>100</v>
      </c>
      <c r="D53" s="5">
        <f>-100</f>
        <v>-100</v>
      </c>
      <c r="E53" s="5">
        <f>0</f>
        <v>0</v>
      </c>
      <c r="F53" s="5"/>
      <c r="G53" s="5">
        <f t="shared" si="1"/>
        <v>0</v>
      </c>
    </row>
    <row r="54" spans="1:8">
      <c r="A54" s="3" t="s">
        <v>54</v>
      </c>
      <c r="B54" s="6">
        <f>(((B50)+(B51))+(B52))+(B53)</f>
        <v>300</v>
      </c>
      <c r="C54" s="6">
        <f>(((C50)+(C51))+(C52))+(C53)</f>
        <v>5936.6</v>
      </c>
      <c r="D54" s="6">
        <f>(((D50)+(D51))+(D52))+(D53)</f>
        <v>-143</v>
      </c>
      <c r="E54" s="6">
        <f>(((E50)+(E51))+(E52))+(E53)</f>
        <v>0</v>
      </c>
      <c r="F54" s="6">
        <f>(((F50)+(F51))+(F52))+(F53)</f>
        <v>0</v>
      </c>
      <c r="G54" s="6">
        <f t="shared" si="1"/>
        <v>6093.6</v>
      </c>
    </row>
    <row r="55" spans="1:8">
      <c r="A55" s="3" t="s">
        <v>55</v>
      </c>
      <c r="B55" s="5">
        <f>0</f>
        <v>0</v>
      </c>
      <c r="C55" s="5">
        <f>0</f>
        <v>0</v>
      </c>
      <c r="D55" s="5">
        <f>0</f>
        <v>0</v>
      </c>
      <c r="E55" s="5">
        <f>0</f>
        <v>0</v>
      </c>
      <c r="F55" s="5"/>
      <c r="G55" s="5">
        <f t="shared" si="1"/>
        <v>0</v>
      </c>
    </row>
    <row r="56" spans="1:8">
      <c r="A56" s="3" t="s">
        <v>56</v>
      </c>
      <c r="B56" s="5">
        <f>0</f>
        <v>0</v>
      </c>
      <c r="C56" s="5">
        <f>25</f>
        <v>25</v>
      </c>
      <c r="D56" s="5">
        <f>0</f>
        <v>0</v>
      </c>
      <c r="E56" s="5">
        <f>33</f>
        <v>33</v>
      </c>
      <c r="F56" s="5">
        <f>56</f>
        <v>56</v>
      </c>
      <c r="G56" s="5">
        <f t="shared" si="1"/>
        <v>114</v>
      </c>
    </row>
    <row r="57" spans="1:8">
      <c r="A57" s="3" t="s">
        <v>57</v>
      </c>
      <c r="B57" s="5">
        <f>50</f>
        <v>50</v>
      </c>
      <c r="C57" s="5">
        <f>50</f>
        <v>50</v>
      </c>
      <c r="D57" s="5">
        <f>0</f>
        <v>0</v>
      </c>
      <c r="E57" s="5">
        <f>0</f>
        <v>0</v>
      </c>
      <c r="F57" s="5"/>
      <c r="G57" s="5">
        <f t="shared" si="1"/>
        <v>100</v>
      </c>
    </row>
    <row r="58" spans="1:8">
      <c r="A58" s="3" t="s">
        <v>58</v>
      </c>
      <c r="B58" s="5">
        <f>0</f>
        <v>0</v>
      </c>
      <c r="C58" s="5">
        <f>11.02</f>
        <v>11.02</v>
      </c>
      <c r="D58" s="5">
        <f>0</f>
        <v>0</v>
      </c>
      <c r="E58" s="5">
        <f>0</f>
        <v>0</v>
      </c>
      <c r="F58" s="5">
        <f>10.57</f>
        <v>10.57</v>
      </c>
      <c r="G58" s="5">
        <f t="shared" si="1"/>
        <v>21.59</v>
      </c>
    </row>
    <row r="59" spans="1:8">
      <c r="A59" s="3" t="s">
        <v>59</v>
      </c>
      <c r="B59" s="5">
        <f>808.75</f>
        <v>808.75</v>
      </c>
      <c r="C59" s="5">
        <f>691.71</f>
        <v>691.71</v>
      </c>
      <c r="D59" s="5">
        <f>538</f>
        <v>538</v>
      </c>
      <c r="E59" s="5">
        <f>60</f>
        <v>60</v>
      </c>
      <c r="F59" s="5">
        <f>18.6</f>
        <v>18.600000000000001</v>
      </c>
      <c r="G59" s="5">
        <f t="shared" si="1"/>
        <v>2117.06</v>
      </c>
    </row>
    <row r="60" spans="1:8">
      <c r="A60" s="3" t="s">
        <v>60</v>
      </c>
      <c r="B60" s="5">
        <f>420.2</f>
        <v>420.2</v>
      </c>
      <c r="C60" s="5">
        <f>271.2</f>
        <v>271.2</v>
      </c>
      <c r="D60" s="5">
        <f>181.8</f>
        <v>181.8</v>
      </c>
      <c r="E60" s="5">
        <f>0</f>
        <v>0</v>
      </c>
      <c r="F60" s="5">
        <f>6</f>
        <v>6</v>
      </c>
      <c r="G60" s="5">
        <f t="shared" si="1"/>
        <v>879.2</v>
      </c>
    </row>
    <row r="61" spans="1:8">
      <c r="A61" s="3" t="s">
        <v>61</v>
      </c>
      <c r="B61" s="6">
        <f>(((((B55)+(B56))+(B57))+(B58))+(B59))+(B60)</f>
        <v>1278.95</v>
      </c>
      <c r="C61" s="6">
        <f>(((((C55)+(C56))+(C57))+(C58))+(C59))+(C60)</f>
        <v>1048.93</v>
      </c>
      <c r="D61" s="6">
        <f>(((((D55)+(D56))+(D57))+(D58))+(D59))+(D60)</f>
        <v>719.8</v>
      </c>
      <c r="E61" s="6">
        <f>(((((E55)+(E56))+(E57))+(E58))+(E59))+(E60)</f>
        <v>93</v>
      </c>
      <c r="F61" s="6">
        <f>(((((F55)+(F56))+(F57))+(F58))+(F59))+(F60)</f>
        <v>91.169999999999987</v>
      </c>
      <c r="G61" s="6">
        <f t="shared" si="1"/>
        <v>3231.8500000000004</v>
      </c>
    </row>
    <row r="62" spans="1:8">
      <c r="A62" s="3" t="s">
        <v>62</v>
      </c>
      <c r="B62" s="6">
        <f>((B49)+(B54))+(B61)</f>
        <v>3368.5</v>
      </c>
      <c r="C62" s="6">
        <f>((C49)+(C54))+(C61)</f>
        <v>8710.74</v>
      </c>
      <c r="D62" s="6">
        <f>((D49)+(D54))+(D61)</f>
        <v>2274.3999999999996</v>
      </c>
      <c r="E62" s="6">
        <f>((E49)+(E54))+(E61)</f>
        <v>3673.91</v>
      </c>
      <c r="F62" s="6">
        <f>((F49)+(F54))+(F61)</f>
        <v>1634.7100000000003</v>
      </c>
      <c r="G62" s="6">
        <f t="shared" si="1"/>
        <v>19662.259999999998</v>
      </c>
    </row>
    <row r="63" spans="1:8">
      <c r="A63" s="3" t="s">
        <v>63</v>
      </c>
      <c r="B63" s="6">
        <f>(B62)-(0)</f>
        <v>3368.5</v>
      </c>
      <c r="C63" s="6">
        <f>(C62)-(0)</f>
        <v>8710.74</v>
      </c>
      <c r="D63" s="6">
        <f>(D62)-(0)</f>
        <v>2274.3999999999996</v>
      </c>
      <c r="E63" s="6">
        <f>(E62)-(0)</f>
        <v>3673.91</v>
      </c>
      <c r="F63" s="6">
        <f>(F62)-(0)</f>
        <v>1634.7100000000003</v>
      </c>
      <c r="G63" s="6">
        <f t="shared" si="1"/>
        <v>19662.259999999998</v>
      </c>
    </row>
    <row r="64" spans="1:8">
      <c r="A64" s="3" t="s">
        <v>64</v>
      </c>
      <c r="B64" s="4"/>
      <c r="C64" s="4"/>
      <c r="D64" s="4"/>
      <c r="E64" s="4"/>
      <c r="F64" s="4"/>
      <c r="G64" s="4"/>
    </row>
    <row r="65" spans="1:8">
      <c r="A65" s="3" t="s">
        <v>65</v>
      </c>
      <c r="B65" s="5">
        <f>0</f>
        <v>0</v>
      </c>
      <c r="C65" s="5">
        <f>270</f>
        <v>270</v>
      </c>
      <c r="D65" s="5">
        <f>83.58</f>
        <v>83.58</v>
      </c>
      <c r="E65" s="5">
        <f>0</f>
        <v>0</v>
      </c>
      <c r="F65" s="5"/>
      <c r="G65" s="5">
        <f t="shared" ref="G65:G88" si="2">((((B65)+(C65))+(D65))+(E65))+(F65)</f>
        <v>353.58</v>
      </c>
    </row>
    <row r="66" spans="1:8">
      <c r="A66" s="3" t="s">
        <v>66</v>
      </c>
      <c r="B66" s="5">
        <f>0</f>
        <v>0</v>
      </c>
      <c r="C66" s="5">
        <f>0</f>
        <v>0</v>
      </c>
      <c r="D66" s="5">
        <f>0</f>
        <v>0</v>
      </c>
      <c r="E66" s="5">
        <f>0</f>
        <v>0</v>
      </c>
      <c r="F66" s="5">
        <f>841</f>
        <v>841</v>
      </c>
      <c r="G66" s="5">
        <f t="shared" si="2"/>
        <v>841</v>
      </c>
    </row>
    <row r="67" spans="1:8">
      <c r="A67" s="3" t="s">
        <v>67</v>
      </c>
      <c r="B67" s="5">
        <f>0</f>
        <v>0</v>
      </c>
      <c r="C67" s="5">
        <f>0</f>
        <v>0</v>
      </c>
      <c r="D67" s="5">
        <f>0</f>
        <v>0</v>
      </c>
      <c r="E67" s="5">
        <f>0</f>
        <v>0</v>
      </c>
      <c r="F67" s="5"/>
      <c r="G67" s="5">
        <f t="shared" si="2"/>
        <v>0</v>
      </c>
    </row>
    <row r="68" spans="1:8">
      <c r="A68" s="3" t="s">
        <v>68</v>
      </c>
      <c r="B68" s="5">
        <f>0</f>
        <v>0</v>
      </c>
      <c r="C68" s="5">
        <f>423.1</f>
        <v>423.1</v>
      </c>
      <c r="D68" s="5">
        <f>0</f>
        <v>0</v>
      </c>
      <c r="E68" s="5">
        <f>0</f>
        <v>0</v>
      </c>
      <c r="F68" s="5">
        <f>800</f>
        <v>800</v>
      </c>
      <c r="G68" s="5">
        <f t="shared" si="2"/>
        <v>1223.0999999999999</v>
      </c>
      <c r="H68" t="s">
        <v>102</v>
      </c>
    </row>
    <row r="69" spans="1:8">
      <c r="A69" s="3" t="s">
        <v>69</v>
      </c>
      <c r="B69" s="6">
        <f>(B67)+(B68)</f>
        <v>0</v>
      </c>
      <c r="C69" s="6">
        <f>(C67)+(C68)</f>
        <v>423.1</v>
      </c>
      <c r="D69" s="6">
        <f>(D67)+(D68)</f>
        <v>0</v>
      </c>
      <c r="E69" s="6">
        <f>(E67)+(E68)</f>
        <v>0</v>
      </c>
      <c r="F69" s="6">
        <f>(F67)+(F68)</f>
        <v>800</v>
      </c>
      <c r="G69" s="6">
        <f t="shared" si="2"/>
        <v>1223.0999999999999</v>
      </c>
    </row>
    <row r="70" spans="1:8">
      <c r="A70" s="3" t="s">
        <v>70</v>
      </c>
      <c r="B70" s="5">
        <f>1047.52</f>
        <v>1047.52</v>
      </c>
      <c r="C70" s="5">
        <f>772.65</f>
        <v>772.65</v>
      </c>
      <c r="D70" s="5">
        <f>578.65</f>
        <v>578.65</v>
      </c>
      <c r="E70" s="5">
        <f>845.02</f>
        <v>845.02</v>
      </c>
      <c r="F70" s="5"/>
      <c r="G70" s="5">
        <f t="shared" si="2"/>
        <v>3243.84</v>
      </c>
    </row>
    <row r="71" spans="1:8">
      <c r="A71" s="3" t="s">
        <v>71</v>
      </c>
      <c r="B71" s="5">
        <f>293.64</f>
        <v>293.64</v>
      </c>
      <c r="C71" s="5">
        <f>516.64</f>
        <v>516.64</v>
      </c>
      <c r="D71" s="5">
        <f>0</f>
        <v>0</v>
      </c>
      <c r="E71" s="5">
        <f>0</f>
        <v>0</v>
      </c>
      <c r="F71" s="5"/>
      <c r="G71" s="5">
        <f t="shared" si="2"/>
        <v>810.28</v>
      </c>
    </row>
    <row r="72" spans="1:8">
      <c r="A72" s="3" t="s">
        <v>72</v>
      </c>
      <c r="B72" s="5">
        <f>0</f>
        <v>0</v>
      </c>
      <c r="C72" s="5">
        <f>0</f>
        <v>0</v>
      </c>
      <c r="D72" s="5">
        <f>0</f>
        <v>0</v>
      </c>
      <c r="E72" s="5">
        <f>0</f>
        <v>0</v>
      </c>
      <c r="F72" s="5"/>
      <c r="G72" s="5">
        <f t="shared" si="2"/>
        <v>0</v>
      </c>
    </row>
    <row r="73" spans="1:8">
      <c r="A73" s="3" t="s">
        <v>73</v>
      </c>
      <c r="B73" s="5">
        <f>48.63</f>
        <v>48.63</v>
      </c>
      <c r="C73" s="5">
        <f>119.2</f>
        <v>119.2</v>
      </c>
      <c r="D73" s="5">
        <f>21.09</f>
        <v>21.09</v>
      </c>
      <c r="E73" s="5">
        <f>11.47</f>
        <v>11.47</v>
      </c>
      <c r="F73" s="5">
        <f>42.36</f>
        <v>42.36</v>
      </c>
      <c r="G73" s="5">
        <f t="shared" si="2"/>
        <v>242.75</v>
      </c>
    </row>
    <row r="74" spans="1:8">
      <c r="A74" s="3" t="s">
        <v>74</v>
      </c>
      <c r="B74" s="5">
        <f>0</f>
        <v>0</v>
      </c>
      <c r="C74" s="5">
        <f>0</f>
        <v>0</v>
      </c>
      <c r="D74" s="5">
        <f>0</f>
        <v>0</v>
      </c>
      <c r="E74" s="5">
        <f>0</f>
        <v>0</v>
      </c>
      <c r="F74" s="5">
        <f>11</f>
        <v>11</v>
      </c>
      <c r="G74" s="5">
        <f t="shared" si="2"/>
        <v>11</v>
      </c>
    </row>
    <row r="75" spans="1:8">
      <c r="A75" s="3" t="s">
        <v>75</v>
      </c>
      <c r="B75" s="6">
        <f>((B72)+(B73))+(B74)</f>
        <v>48.63</v>
      </c>
      <c r="C75" s="6">
        <f>((C72)+(C73))+(C74)</f>
        <v>119.2</v>
      </c>
      <c r="D75" s="6">
        <f>((D72)+(D73))+(D74)</f>
        <v>21.09</v>
      </c>
      <c r="E75" s="6">
        <f>((E72)+(E73))+(E74)</f>
        <v>11.47</v>
      </c>
      <c r="F75" s="6">
        <f>((F72)+(F73))+(F74)</f>
        <v>53.36</v>
      </c>
      <c r="G75" s="6">
        <f t="shared" si="2"/>
        <v>253.75</v>
      </c>
    </row>
    <row r="76" spans="1:8">
      <c r="A76" s="3" t="s">
        <v>76</v>
      </c>
      <c r="B76" s="5">
        <f>318.9</f>
        <v>318.89999999999998</v>
      </c>
      <c r="C76" s="5">
        <f>88</f>
        <v>88</v>
      </c>
      <c r="D76" s="5">
        <f>88</f>
        <v>88</v>
      </c>
      <c r="E76" s="5">
        <f>44</f>
        <v>44</v>
      </c>
      <c r="F76" s="5"/>
      <c r="G76" s="5">
        <f t="shared" si="2"/>
        <v>538.9</v>
      </c>
    </row>
    <row r="77" spans="1:8">
      <c r="A77" s="3" t="s">
        <v>77</v>
      </c>
      <c r="B77" s="5">
        <f>115.74</f>
        <v>115.74</v>
      </c>
      <c r="C77" s="5">
        <f>115.74</f>
        <v>115.74</v>
      </c>
      <c r="D77" s="5">
        <f>115.76</f>
        <v>115.76</v>
      </c>
      <c r="E77" s="5">
        <f>58.99</f>
        <v>58.99</v>
      </c>
      <c r="F77" s="5"/>
      <c r="G77" s="5">
        <f t="shared" si="2"/>
        <v>406.23</v>
      </c>
    </row>
    <row r="78" spans="1:8">
      <c r="A78" s="3" t="s">
        <v>78</v>
      </c>
      <c r="B78" s="5">
        <f>0</f>
        <v>0</v>
      </c>
      <c r="C78" s="5">
        <f>0</f>
        <v>0</v>
      </c>
      <c r="D78" s="5">
        <f>0</f>
        <v>0</v>
      </c>
      <c r="E78" s="5">
        <f>0</f>
        <v>0</v>
      </c>
      <c r="F78" s="5"/>
      <c r="G78" s="5">
        <f t="shared" si="2"/>
        <v>0</v>
      </c>
    </row>
    <row r="79" spans="1:8">
      <c r="A79" s="3" t="s">
        <v>79</v>
      </c>
      <c r="B79" s="5">
        <f>575</f>
        <v>575</v>
      </c>
      <c r="C79" s="5">
        <f>575</f>
        <v>575</v>
      </c>
      <c r="D79" s="5">
        <f>575</f>
        <v>575</v>
      </c>
      <c r="E79" s="5">
        <f>575</f>
        <v>575</v>
      </c>
      <c r="F79" s="5">
        <f>575</f>
        <v>575</v>
      </c>
      <c r="G79" s="5">
        <f t="shared" si="2"/>
        <v>2875</v>
      </c>
    </row>
    <row r="80" spans="1:8">
      <c r="A80" s="3" t="s">
        <v>80</v>
      </c>
      <c r="B80" s="6">
        <f>(B78)+(B79)</f>
        <v>575</v>
      </c>
      <c r="C80" s="6">
        <f>(C78)+(C79)</f>
        <v>575</v>
      </c>
      <c r="D80" s="6">
        <f>(D78)+(D79)</f>
        <v>575</v>
      </c>
      <c r="E80" s="6">
        <f>(E78)+(E79)</f>
        <v>575</v>
      </c>
      <c r="F80" s="6">
        <f>(F78)+(F79)</f>
        <v>575</v>
      </c>
      <c r="G80" s="6">
        <f t="shared" si="2"/>
        <v>2875</v>
      </c>
    </row>
    <row r="81" spans="1:7">
      <c r="A81" s="3" t="s">
        <v>81</v>
      </c>
      <c r="B81" s="5">
        <f>1456</f>
        <v>1456</v>
      </c>
      <c r="C81" s="5">
        <f>1456</f>
        <v>1456</v>
      </c>
      <c r="D81" s="5">
        <f>1456</f>
        <v>1456</v>
      </c>
      <c r="E81" s="5">
        <f>742</f>
        <v>742</v>
      </c>
      <c r="F81" s="5"/>
      <c r="G81" s="5">
        <f t="shared" si="2"/>
        <v>5110</v>
      </c>
    </row>
    <row r="82" spans="1:7">
      <c r="A82" s="3" t="s">
        <v>82</v>
      </c>
      <c r="B82" s="5">
        <f>0</f>
        <v>0</v>
      </c>
      <c r="C82" s="5">
        <f>0</f>
        <v>0</v>
      </c>
      <c r="D82" s="5">
        <f>0</f>
        <v>0</v>
      </c>
      <c r="E82" s="5">
        <f>0</f>
        <v>0</v>
      </c>
      <c r="F82" s="5"/>
      <c r="G82" s="5">
        <f t="shared" si="2"/>
        <v>0</v>
      </c>
    </row>
    <row r="83" spans="1:7">
      <c r="A83" s="3" t="s">
        <v>83</v>
      </c>
      <c r="B83" s="5">
        <f>96</f>
        <v>96</v>
      </c>
      <c r="C83" s="5">
        <f>65</f>
        <v>65</v>
      </c>
      <c r="D83" s="5">
        <f>60.67</f>
        <v>60.67</v>
      </c>
      <c r="E83" s="5">
        <f>65</f>
        <v>65</v>
      </c>
      <c r="F83" s="5">
        <f>65</f>
        <v>65</v>
      </c>
      <c r="G83" s="5">
        <f t="shared" si="2"/>
        <v>351.67</v>
      </c>
    </row>
    <row r="84" spans="1:7">
      <c r="A84" s="3" t="s">
        <v>84</v>
      </c>
      <c r="B84" s="5">
        <f>121.09</f>
        <v>121.09</v>
      </c>
      <c r="C84" s="5">
        <f>123.52</f>
        <v>123.52</v>
      </c>
      <c r="D84" s="5">
        <f>121.09</f>
        <v>121.09</v>
      </c>
      <c r="E84" s="5">
        <f>125.95</f>
        <v>125.95</v>
      </c>
      <c r="F84" s="5">
        <f>123.52</f>
        <v>123.52</v>
      </c>
      <c r="G84" s="5">
        <f t="shared" si="2"/>
        <v>615.17000000000007</v>
      </c>
    </row>
    <row r="85" spans="1:7">
      <c r="A85" s="3" t="s">
        <v>85</v>
      </c>
      <c r="B85" s="6">
        <f>((B82)+(B83))+(B84)</f>
        <v>217.09</v>
      </c>
      <c r="C85" s="6">
        <f>((C82)+(C83))+(C84)</f>
        <v>188.51999999999998</v>
      </c>
      <c r="D85" s="6">
        <f>((D82)+(D83))+(D84)</f>
        <v>181.76</v>
      </c>
      <c r="E85" s="6">
        <f>((E82)+(E83))+(E84)</f>
        <v>190.95</v>
      </c>
      <c r="F85" s="6">
        <f>((F82)+(F83))+(F84)</f>
        <v>188.51999999999998</v>
      </c>
      <c r="G85" s="6">
        <f t="shared" si="2"/>
        <v>966.83999999999992</v>
      </c>
    </row>
    <row r="86" spans="1:7">
      <c r="A86" s="3" t="s">
        <v>86</v>
      </c>
      <c r="B86" s="5">
        <f>101</f>
        <v>101</v>
      </c>
      <c r="C86" s="5">
        <f>14.03</f>
        <v>14.03</v>
      </c>
      <c r="D86" s="5">
        <f>30.06</f>
        <v>30.06</v>
      </c>
      <c r="E86" s="5">
        <f>5.03</f>
        <v>5.03</v>
      </c>
      <c r="F86" s="5">
        <f>17.45</f>
        <v>17.45</v>
      </c>
      <c r="G86" s="5">
        <f t="shared" si="2"/>
        <v>167.57</v>
      </c>
    </row>
    <row r="87" spans="1:7">
      <c r="A87" s="3" t="s">
        <v>87</v>
      </c>
      <c r="B87" s="6">
        <f>(((((((((((B65)+(B66))+(B69))+(B70))+(B71))+(B75))+(B76))+(B77))+(B80))+(B81))+(B85))+(B86)</f>
        <v>4173.5200000000004</v>
      </c>
      <c r="C87" s="6">
        <f>(((((((((((C65)+(C66))+(C69))+(C70))+(C71))+(C75))+(C76))+(C77))+(C80))+(C81))+(C85))+(C86)</f>
        <v>4538.88</v>
      </c>
      <c r="D87" s="6">
        <f>(((((((((((D65)+(D66))+(D69))+(D70))+(D71))+(D75))+(D76))+(D77))+(D80))+(D81))+(D85))+(D86)</f>
        <v>3129.9</v>
      </c>
      <c r="E87" s="6">
        <f>(((((((((((E65)+(E66))+(E69))+(E70))+(E71))+(E75))+(E76))+(E77))+(E80))+(E81))+(E85))+(E86)</f>
        <v>2472.46</v>
      </c>
      <c r="F87" s="6">
        <f>(((((((((((F65)+(F66))+(F69))+(F70))+(F71))+(F75))+(F76))+(F77))+(F80))+(F81))+(F85))+(F86)</f>
        <v>2475.3299999999995</v>
      </c>
      <c r="G87" s="6">
        <f t="shared" si="2"/>
        <v>16790.09</v>
      </c>
    </row>
    <row r="88" spans="1:7">
      <c r="A88" s="3" t="s">
        <v>88</v>
      </c>
      <c r="B88" s="6">
        <f>(B63)-(B87)</f>
        <v>-805.02000000000044</v>
      </c>
      <c r="C88" s="6">
        <f>(C63)-(C87)</f>
        <v>4171.8599999999997</v>
      </c>
      <c r="D88" s="6">
        <f>(D63)-(D87)</f>
        <v>-855.50000000000045</v>
      </c>
      <c r="E88" s="6">
        <f>(E63)-(E87)</f>
        <v>1201.4499999999998</v>
      </c>
      <c r="F88" s="6">
        <f>(F63)-(F87)</f>
        <v>-840.61999999999921</v>
      </c>
      <c r="G88" s="6">
        <f t="shared" si="2"/>
        <v>2872.1699999999992</v>
      </c>
    </row>
    <row r="89" spans="1:7">
      <c r="A89" s="3" t="s">
        <v>89</v>
      </c>
      <c r="B89" s="4"/>
      <c r="C89" s="4"/>
      <c r="D89" s="4"/>
      <c r="E89" s="4"/>
      <c r="F89" s="4"/>
      <c r="G89" s="4"/>
    </row>
    <row r="90" spans="1:7">
      <c r="A90" s="3" t="s">
        <v>90</v>
      </c>
      <c r="B90" s="5">
        <f>2.02</f>
        <v>2.02</v>
      </c>
      <c r="C90" s="5">
        <f>1.82</f>
        <v>1.82</v>
      </c>
      <c r="D90" s="5">
        <f>0.7</f>
        <v>0.7</v>
      </c>
      <c r="E90" s="5">
        <f>0.2</f>
        <v>0.2</v>
      </c>
      <c r="F90" s="5">
        <f>0.19</f>
        <v>0.19</v>
      </c>
      <c r="G90" s="5">
        <f>((((B90)+(C90))+(D90))+(E90))+(F90)</f>
        <v>4.9300000000000006</v>
      </c>
    </row>
    <row r="91" spans="1:7">
      <c r="A91" s="3" t="s">
        <v>91</v>
      </c>
      <c r="B91" s="6">
        <f>B90</f>
        <v>2.02</v>
      </c>
      <c r="C91" s="6">
        <f>C90</f>
        <v>1.82</v>
      </c>
      <c r="D91" s="6">
        <f>D90</f>
        <v>0.7</v>
      </c>
      <c r="E91" s="6">
        <f>E90</f>
        <v>0.2</v>
      </c>
      <c r="F91" s="6">
        <f>F90</f>
        <v>0.19</v>
      </c>
      <c r="G91" s="6">
        <f>((((B91)+(C91))+(D91))+(E91))+(F91)</f>
        <v>4.9300000000000006</v>
      </c>
    </row>
    <row r="92" spans="1:7">
      <c r="A92" s="3" t="s">
        <v>92</v>
      </c>
      <c r="B92" s="4"/>
      <c r="C92" s="4"/>
      <c r="D92" s="4"/>
      <c r="E92" s="4"/>
      <c r="F92" s="4"/>
      <c r="G92" s="4"/>
    </row>
    <row r="93" spans="1:7">
      <c r="A93" s="3" t="s">
        <v>93</v>
      </c>
      <c r="B93" s="5">
        <f>5.33</f>
        <v>5.33</v>
      </c>
      <c r="C93" s="5">
        <f>2.72</f>
        <v>2.72</v>
      </c>
      <c r="D93" s="5">
        <f>0</f>
        <v>0</v>
      </c>
      <c r="E93" s="5">
        <f>66.54</f>
        <v>66.540000000000006</v>
      </c>
      <c r="F93" s="5">
        <f>30.63</f>
        <v>30.63</v>
      </c>
      <c r="G93" s="5">
        <f>((((B93)+(C93))+(D93))+(E93))+(F93)</f>
        <v>105.22</v>
      </c>
    </row>
    <row r="94" spans="1:7">
      <c r="A94" s="3" t="s">
        <v>94</v>
      </c>
      <c r="B94" s="6">
        <f>B93</f>
        <v>5.33</v>
      </c>
      <c r="C94" s="6">
        <f>C93</f>
        <v>2.72</v>
      </c>
      <c r="D94" s="6">
        <f>D93</f>
        <v>0</v>
      </c>
      <c r="E94" s="6">
        <f>E93</f>
        <v>66.540000000000006</v>
      </c>
      <c r="F94" s="6">
        <f>F93</f>
        <v>30.63</v>
      </c>
      <c r="G94" s="6">
        <f>((((B94)+(C94))+(D94))+(E94))+(F94)</f>
        <v>105.22</v>
      </c>
    </row>
    <row r="95" spans="1:7">
      <c r="A95" s="3" t="s">
        <v>95</v>
      </c>
      <c r="B95" s="6">
        <f>(B91)-(B94)</f>
        <v>-3.31</v>
      </c>
      <c r="C95" s="6">
        <f>(C91)-(C94)</f>
        <v>-0.90000000000000013</v>
      </c>
      <c r="D95" s="6">
        <f>(D91)-(D94)</f>
        <v>0.7</v>
      </c>
      <c r="E95" s="6">
        <f>(E91)-(E94)</f>
        <v>-66.34</v>
      </c>
      <c r="F95" s="6">
        <f>(F91)-(F94)</f>
        <v>-30.439999999999998</v>
      </c>
      <c r="G95" s="6">
        <f>((((B95)+(C95))+(D95))+(E95))+(F95)</f>
        <v>-100.29</v>
      </c>
    </row>
    <row r="96" spans="1:7">
      <c r="A96" s="3" t="s">
        <v>96</v>
      </c>
      <c r="B96" s="7">
        <f>(B88)+(B95)</f>
        <v>-808.33000000000038</v>
      </c>
      <c r="C96" s="7">
        <f>(C88)+(C95)</f>
        <v>4170.96</v>
      </c>
      <c r="D96" s="7">
        <f>(D88)+(D95)</f>
        <v>-854.80000000000041</v>
      </c>
      <c r="E96" s="7">
        <f>(E88)+(E95)</f>
        <v>1135.1099999999999</v>
      </c>
      <c r="F96" s="7">
        <f>(F88)+(F95)</f>
        <v>-871.05999999999926</v>
      </c>
      <c r="G96" s="7">
        <f>((((B96)+(C96))+(D96))+(E96))+(F96)</f>
        <v>2771.8799999999992</v>
      </c>
    </row>
    <row r="97" spans="1:7">
      <c r="A97" s="3"/>
      <c r="B97" s="4"/>
      <c r="C97" s="4"/>
      <c r="D97" s="4"/>
      <c r="E97" s="4"/>
      <c r="F97" s="4"/>
      <c r="G97" s="4"/>
    </row>
    <row r="100" spans="1:7">
      <c r="A100" s="8" t="s">
        <v>97</v>
      </c>
      <c r="B100" s="9"/>
      <c r="C100" s="9"/>
      <c r="D100" s="9"/>
      <c r="E100" s="9"/>
      <c r="F100" s="9"/>
      <c r="G100" s="9"/>
    </row>
  </sheetData>
  <autoFilter ref="A6:G96"/>
  <mergeCells count="4">
    <mergeCell ref="A100:G100"/>
    <mergeCell ref="A1:G1"/>
    <mergeCell ref="A2:G2"/>
    <mergeCell ref="A3:G3"/>
  </mergeCells>
  <pageMargins left="0.7" right="0.7" top="0" bottom="0" header="0" footer="0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Month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Manager</cp:lastModifiedBy>
  <cp:lastPrinted>2020-06-10T23:36:23Z</cp:lastPrinted>
  <dcterms:created xsi:type="dcterms:W3CDTF">2020-06-10T23:31:47Z</dcterms:created>
  <dcterms:modified xsi:type="dcterms:W3CDTF">2020-06-12T13:33:05Z</dcterms:modified>
</cp:coreProperties>
</file>